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280" yWindow="360" windowWidth="19420" windowHeight="9800"/>
  </bookViews>
  <sheets>
    <sheet name="ICANN Budget Analys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1" l="1"/>
  <c r="S39" i="1"/>
  <c r="K39" i="1"/>
  <c r="T39" i="1"/>
  <c r="S21" i="1"/>
  <c r="S24" i="1"/>
  <c r="S23" i="1"/>
  <c r="S22" i="1"/>
  <c r="S20" i="1"/>
  <c r="S19" i="1"/>
  <c r="S18" i="1"/>
  <c r="S17" i="1"/>
  <c r="S16" i="1"/>
  <c r="S15" i="1"/>
  <c r="S6" i="1"/>
  <c r="S33" i="1"/>
  <c r="M33" i="1"/>
  <c r="M25" i="1"/>
  <c r="M35" i="1"/>
  <c r="M9" i="1"/>
  <c r="M39" i="1"/>
  <c r="M41" i="1"/>
  <c r="L25" i="1"/>
  <c r="K25" i="1"/>
  <c r="L33" i="1"/>
  <c r="P33" i="1"/>
  <c r="K33" i="1"/>
  <c r="S14" i="1"/>
  <c r="S13" i="1"/>
  <c r="S25" i="1"/>
  <c r="T25" i="1"/>
  <c r="U8" i="1"/>
  <c r="S8" i="1"/>
  <c r="S9" i="1"/>
  <c r="O7" i="1"/>
  <c r="O8" i="1"/>
  <c r="L9" i="1"/>
  <c r="K9" i="1"/>
  <c r="O9" i="1"/>
  <c r="O13" i="1"/>
  <c r="O14" i="1"/>
  <c r="O15" i="1"/>
  <c r="O16" i="1"/>
  <c r="O17" i="1"/>
  <c r="O18" i="1"/>
  <c r="O19" i="1"/>
  <c r="O20" i="1"/>
  <c r="O21" i="1"/>
  <c r="O22" i="1"/>
  <c r="O23" i="1"/>
  <c r="O24" i="1"/>
  <c r="O27" i="1"/>
  <c r="O28" i="1"/>
  <c r="O29" i="1"/>
  <c r="O30" i="1"/>
  <c r="O31" i="1"/>
  <c r="O32" i="1"/>
  <c r="O37" i="1"/>
  <c r="O38" i="1"/>
  <c r="L39" i="1"/>
  <c r="O39" i="1"/>
  <c r="O6" i="1"/>
  <c r="P7" i="1"/>
  <c r="P8" i="1"/>
  <c r="P9" i="1"/>
  <c r="P13" i="1"/>
  <c r="P14" i="1"/>
  <c r="P15" i="1"/>
  <c r="P16" i="1"/>
  <c r="P17" i="1"/>
  <c r="P18" i="1"/>
  <c r="P19" i="1"/>
  <c r="P20" i="1"/>
  <c r="P21" i="1"/>
  <c r="P22" i="1"/>
  <c r="P23" i="1"/>
  <c r="P24" i="1"/>
  <c r="P27" i="1"/>
  <c r="P28" i="1"/>
  <c r="P29" i="1"/>
  <c r="P30" i="1"/>
  <c r="P31" i="1"/>
  <c r="P32" i="1"/>
  <c r="P37" i="1"/>
  <c r="P38" i="1"/>
  <c r="P39" i="1"/>
  <c r="P6" i="1"/>
  <c r="Q7" i="1"/>
  <c r="Q8" i="1"/>
  <c r="Q9" i="1"/>
  <c r="Q13" i="1"/>
  <c r="Q14" i="1"/>
  <c r="Q15" i="1"/>
  <c r="Q16" i="1"/>
  <c r="Q17" i="1"/>
  <c r="Q18" i="1"/>
  <c r="Q19" i="1"/>
  <c r="Q20" i="1"/>
  <c r="Q21" i="1"/>
  <c r="Q22" i="1"/>
  <c r="Q23" i="1"/>
  <c r="Q24" i="1"/>
  <c r="Q27" i="1"/>
  <c r="Q28" i="1"/>
  <c r="Q29" i="1"/>
  <c r="Q30" i="1"/>
  <c r="Q31" i="1"/>
  <c r="Q32" i="1"/>
  <c r="Q37" i="1"/>
  <c r="Q38" i="1"/>
  <c r="Q39" i="1"/>
  <c r="Q6" i="1"/>
  <c r="K35" i="1"/>
  <c r="Q35" i="1"/>
  <c r="Q25" i="1"/>
  <c r="T9" i="1"/>
  <c r="O25" i="1"/>
  <c r="T33" i="1"/>
  <c r="O33" i="1"/>
  <c r="P25" i="1"/>
  <c r="K41" i="1"/>
  <c r="Q41" i="1"/>
  <c r="L35" i="1"/>
  <c r="P35" i="1"/>
  <c r="Q33" i="1"/>
  <c r="S35" i="1"/>
  <c r="S41" i="1"/>
  <c r="T35" i="1"/>
  <c r="O35" i="1"/>
  <c r="L41" i="1"/>
  <c r="O41" i="1"/>
  <c r="P41" i="1"/>
</calcChain>
</file>

<file path=xl/sharedStrings.xml><?xml version="1.0" encoding="utf-8"?>
<sst xmlns="http://schemas.openxmlformats.org/spreadsheetml/2006/main" count="95" uniqueCount="69">
  <si>
    <t>Application Fees</t>
  </si>
  <si>
    <t>New gTLD Application Fees</t>
  </si>
  <si>
    <t>Refunds</t>
  </si>
  <si>
    <t>Net Application Fees</t>
  </si>
  <si>
    <t>Operating Expenses</t>
  </si>
  <si>
    <t>Variable</t>
  </si>
  <si>
    <t>Program Administration</t>
  </si>
  <si>
    <t>Initial Evaluation</t>
  </si>
  <si>
    <t>Background screening</t>
  </si>
  <si>
    <t>Fin/Tech/Ops</t>
  </si>
  <si>
    <t>Geographic Names</t>
  </si>
  <si>
    <t>String Simlarity</t>
  </si>
  <si>
    <t>DNS Stability</t>
  </si>
  <si>
    <t>Registry Services</t>
  </si>
  <si>
    <t>Extended Evaluation</t>
  </si>
  <si>
    <t>Quality Control</t>
  </si>
  <si>
    <t>ICANN staff allocation</t>
  </si>
  <si>
    <t>Travel</t>
  </si>
  <si>
    <t>Software</t>
  </si>
  <si>
    <t>Office Space</t>
  </si>
  <si>
    <t>Supplies</t>
  </si>
  <si>
    <t>Total Operating expenses</t>
  </si>
  <si>
    <t>Other Income / (expense)</t>
  </si>
  <si>
    <t>Development Service Fees</t>
  </si>
  <si>
    <t>Risk Costs</t>
  </si>
  <si>
    <t>Total Other Income/(expense)</t>
  </si>
  <si>
    <t>Change in Net Assets</t>
  </si>
  <si>
    <t>String Contentions</t>
  </si>
  <si>
    <t>Independent Objector</t>
  </si>
  <si>
    <t>Pre-Delegation</t>
  </si>
  <si>
    <t>Fixed</t>
  </si>
  <si>
    <t>gTLD Team</t>
  </si>
  <si>
    <t>ICANN Budget for new gTLDs</t>
  </si>
  <si>
    <t>500 TLDs</t>
  </si>
  <si>
    <t>1000 TLDs</t>
  </si>
  <si>
    <t>2000 TLDs</t>
  </si>
  <si>
    <t>1k/500</t>
  </si>
  <si>
    <t>2k/1k</t>
  </si>
  <si>
    <t>2k/500</t>
  </si>
  <si>
    <t>Total Fixed</t>
  </si>
  <si>
    <t>Total Variable</t>
  </si>
  <si>
    <t>Analyses</t>
  </si>
  <si>
    <t>2x</t>
  </si>
  <si>
    <t>Budget scenarios per ICANN</t>
  </si>
  <si>
    <t>Actual</t>
  </si>
  <si>
    <t>Per ICANN</t>
  </si>
  <si>
    <t>Same as 500 TLD scenario</t>
  </si>
  <si>
    <t>ICANN budget assumes new applicant for each TLD. Given that many applicants apply for multiple TLDs, economies of scale are available.</t>
  </si>
  <si>
    <t>Given that panelists will review repetive applications from the same applicants and/or same technical provider, economies of scale are available.</t>
  </si>
  <si>
    <t>2 X</t>
  </si>
  <si>
    <t>Proposed TLD Budget</t>
  </si>
  <si>
    <t>Basis for estimate.  Multiplier is times ICANN's 500 TLD budget scenario</t>
  </si>
  <si>
    <t>Same as ICANN</t>
  </si>
  <si>
    <t>Assumes no efficiency with increase in TLD applications.</t>
  </si>
  <si>
    <t>1,930 apps X $185k</t>
  </si>
  <si>
    <t>Notes for new gTLD Application Processing Budget.</t>
  </si>
  <si>
    <t>All amounts in $000</t>
  </si>
  <si>
    <t>Calculated difference with ICANN's 500 TLD budget</t>
  </si>
  <si>
    <t>Economies of scale.  Doubling program administration is sufficient for 1930 apps.</t>
  </si>
  <si>
    <t>Economies of scale.  Doubling program administration is sufficient for 66 Geo apps.</t>
  </si>
  <si>
    <t>Economies of scale.  Doubling 500 TLD budget is sufficient for 1930 apps.</t>
  </si>
  <si>
    <t>$2.15 million is sufficient for QC function.  Costs largely covered in risk budget.</t>
  </si>
  <si>
    <t>Most of the costs are covered by community and/or auction process.  Admin support costs for string contention are covered with twice 500 TLD amount.</t>
  </si>
  <si>
    <t>10% of entire ICANN personnel budget</t>
  </si>
  <si>
    <t>Using reasonable allocation of ICANN's overall operating budget for personnel of 10%.  10% of $31 milion = $3.1 million</t>
  </si>
  <si>
    <t>Provide support for increase in historical costs from $12.5 to $29.9 million, a 239% increase.  Need to honor ICANN's commitment to audited cost accounting reporting.</t>
  </si>
  <si>
    <t>Key risks eliminated due to passage of time: (E.g., Communication, Application window, Contracts, etc.).  Risks are not directly proportional to # of applications.  Economies of scale.</t>
  </si>
  <si>
    <t>Surplus of $151.1 million.  $78.3k per application.  (151.1M / 1930 = 78.3k)</t>
  </si>
  <si>
    <t>Applicant Support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</si>
</sst>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7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43" fontId="0" fillId="0" borderId="0" xfId="1" applyNumberFormat="1" applyFon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164" fontId="0" fillId="2" borderId="0" xfId="1" applyNumberFormat="1" applyFont="1" applyFill="1" applyBorder="1" applyAlignment="1">
      <alignment horizontal="center" wrapText="1"/>
    </xf>
    <xf numFmtId="164" fontId="0" fillId="2" borderId="14" xfId="1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2" fillId="0" borderId="0" xfId="0" applyFont="1"/>
    <xf numFmtId="6" fontId="2" fillId="0" borderId="0" xfId="0" quotePrefix="1" applyNumberFormat="1" applyFont="1"/>
    <xf numFmtId="0" fontId="0" fillId="2" borderId="4" xfId="0" applyFill="1" applyBorder="1" applyAlignment="1">
      <alignment vertical="center" wrapText="1"/>
    </xf>
    <xf numFmtId="10" fontId="0" fillId="2" borderId="4" xfId="2" applyNumberFormat="1" applyFont="1" applyFill="1" applyBorder="1" applyAlignment="1">
      <alignment horizontal="left" vertical="center" wrapText="1"/>
    </xf>
    <xf numFmtId="164" fontId="0" fillId="0" borderId="17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0" fillId="0" borderId="19" xfId="1" applyNumberFormat="1" applyFont="1" applyBorder="1" applyAlignment="1">
      <alignment vertical="center"/>
    </xf>
    <xf numFmtId="43" fontId="0" fillId="2" borderId="0" xfId="1" applyNumberFormat="1" applyFont="1" applyFill="1" applyBorder="1" applyAlignment="1">
      <alignment horizontal="left" vertical="center" indent="2" readingOrder="1"/>
    </xf>
    <xf numFmtId="0" fontId="2" fillId="0" borderId="0" xfId="0" applyFont="1" applyAlignment="1">
      <alignment vertical="center"/>
    </xf>
    <xf numFmtId="0" fontId="0" fillId="2" borderId="20" xfId="0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wrapText="1"/>
    </xf>
    <xf numFmtId="164" fontId="3" fillId="2" borderId="24" xfId="1" applyNumberFormat="1" applyFont="1" applyFill="1" applyBorder="1" applyAlignment="1">
      <alignment vertical="center"/>
    </xf>
    <xf numFmtId="164" fontId="3" fillId="2" borderId="25" xfId="1" applyNumberFormat="1" applyFont="1" applyFill="1" applyBorder="1" applyAlignment="1">
      <alignment vertical="center"/>
    </xf>
    <xf numFmtId="164" fontId="4" fillId="2" borderId="26" xfId="1" applyNumberFormat="1" applyFont="1" applyFill="1" applyBorder="1" applyAlignment="1">
      <alignment vertical="center"/>
    </xf>
    <xf numFmtId="164" fontId="4" fillId="2" borderId="25" xfId="1" applyNumberFormat="1" applyFont="1" applyFill="1" applyBorder="1" applyAlignment="1">
      <alignment vertical="center"/>
    </xf>
    <xf numFmtId="164" fontId="4" fillId="2" borderId="27" xfId="1" applyNumberFormat="1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180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2"/>
  <sheetViews>
    <sheetView tabSelected="1" workbookViewId="0">
      <pane xSplit="10" ySplit="4" topLeftCell="M39" activePane="bottomRight" state="frozen"/>
      <selection pane="topRight" activeCell="K1" sqref="K1"/>
      <selection pane="bottomLeft" activeCell="A4" sqref="A4"/>
      <selection pane="bottomRight" activeCell="O46" sqref="O46"/>
    </sheetView>
  </sheetViews>
  <sheetFormatPr baseColWidth="10" defaultColWidth="8.83203125" defaultRowHeight="15" outlineLevelCol="1" x14ac:dyDescent="0"/>
  <cols>
    <col min="1" max="1" width="2.5" customWidth="1"/>
    <col min="2" max="8" width="3.1640625" style="1" customWidth="1"/>
    <col min="9" max="9" width="14.33203125" style="1" customWidth="1"/>
    <col min="10" max="10" width="2.5" style="1" customWidth="1"/>
    <col min="11" max="11" width="10.1640625" style="2" customWidth="1" outlineLevel="1"/>
    <col min="12" max="12" width="8.83203125" style="1" customWidth="1" outlineLevel="1"/>
    <col min="13" max="13" width="9.1640625" style="1" customWidth="1" outlineLevel="1"/>
    <col min="14" max="14" width="1.33203125" style="1" customWidth="1" outlineLevel="1"/>
    <col min="15" max="17" width="9.1640625" style="1" customWidth="1" outlineLevel="1"/>
    <col min="18" max="18" width="1.83203125" style="1" customWidth="1"/>
    <col min="19" max="19" width="10.33203125" style="43" bestFit="1" customWidth="1"/>
    <col min="20" max="20" width="21.5" style="7" customWidth="1"/>
    <col min="21" max="21" width="69.5" style="3" customWidth="1"/>
  </cols>
  <sheetData>
    <row r="1" spans="1:21" ht="14">
      <c r="A1" s="32" t="s">
        <v>32</v>
      </c>
      <c r="S1" s="1"/>
      <c r="T1" s="1"/>
      <c r="U1" s="1"/>
    </row>
    <row r="2" spans="1:21" thickBot="1">
      <c r="A2" s="33" t="s">
        <v>56</v>
      </c>
      <c r="S2" s="1"/>
      <c r="T2" s="1"/>
      <c r="U2" s="1"/>
    </row>
    <row r="3" spans="1:21" ht="16" thickBot="1">
      <c r="K3" s="57" t="s">
        <v>43</v>
      </c>
      <c r="L3" s="58"/>
      <c r="M3" s="59"/>
      <c r="O3" s="54" t="s">
        <v>41</v>
      </c>
      <c r="P3" s="55"/>
      <c r="Q3" s="56"/>
      <c r="S3" s="53"/>
      <c r="T3" s="1"/>
      <c r="U3" s="1"/>
    </row>
    <row r="4" spans="1:21" s="21" customFormat="1" ht="70.75" customHeight="1">
      <c r="K4" s="22" t="s">
        <v>33</v>
      </c>
      <c r="L4" s="23" t="s">
        <v>34</v>
      </c>
      <c r="M4" s="24" t="s">
        <v>35</v>
      </c>
      <c r="N4" s="25"/>
      <c r="O4" s="22" t="s">
        <v>36</v>
      </c>
      <c r="P4" s="23" t="s">
        <v>37</v>
      </c>
      <c r="Q4" s="24" t="s">
        <v>38</v>
      </c>
      <c r="S4" s="46" t="s">
        <v>50</v>
      </c>
      <c r="T4" s="28" t="s">
        <v>51</v>
      </c>
      <c r="U4" s="29" t="s">
        <v>55</v>
      </c>
    </row>
    <row r="5" spans="1:21">
      <c r="B5" s="1" t="s">
        <v>0</v>
      </c>
      <c r="K5" s="8"/>
      <c r="L5" s="5"/>
      <c r="M5" s="9"/>
      <c r="N5" s="2"/>
      <c r="O5" s="8"/>
      <c r="P5" s="5"/>
      <c r="Q5" s="9"/>
      <c r="S5" s="47"/>
      <c r="T5" s="26"/>
      <c r="U5" s="27"/>
    </row>
    <row r="6" spans="1:21">
      <c r="C6" s="1" t="s">
        <v>1</v>
      </c>
      <c r="K6" s="8">
        <v>90500</v>
      </c>
      <c r="L6" s="5">
        <v>183000</v>
      </c>
      <c r="M6" s="9">
        <v>368000</v>
      </c>
      <c r="N6" s="2"/>
      <c r="O6" s="17">
        <f t="shared" ref="O6:P9" si="0">+L6/K6</f>
        <v>2.0220994475138121</v>
      </c>
      <c r="P6" s="18">
        <f t="shared" si="0"/>
        <v>2.0109289617486339</v>
      </c>
      <c r="Q6" s="19">
        <f>+M6/K6</f>
        <v>4.0662983425414367</v>
      </c>
      <c r="S6" s="48">
        <f>185000*1.93</f>
        <v>357050</v>
      </c>
      <c r="T6" s="44" t="s">
        <v>44</v>
      </c>
      <c r="U6" s="34" t="s">
        <v>54</v>
      </c>
    </row>
    <row r="7" spans="1:21">
      <c r="C7" s="1" t="s">
        <v>68</v>
      </c>
      <c r="K7" s="8">
        <v>2000</v>
      </c>
      <c r="L7" s="5">
        <v>2000</v>
      </c>
      <c r="M7" s="9">
        <v>2000</v>
      </c>
      <c r="N7" s="2"/>
      <c r="O7" s="17">
        <f t="shared" si="0"/>
        <v>1</v>
      </c>
      <c r="P7" s="18">
        <f t="shared" si="0"/>
        <v>1</v>
      </c>
      <c r="Q7" s="19">
        <f>+M7/K7</f>
        <v>1</v>
      </c>
      <c r="S7" s="48">
        <v>2000</v>
      </c>
      <c r="T7" s="44" t="s">
        <v>45</v>
      </c>
      <c r="U7" s="34"/>
    </row>
    <row r="8" spans="1:21">
      <c r="C8" s="1" t="s">
        <v>2</v>
      </c>
      <c r="K8" s="8">
        <v>-8260</v>
      </c>
      <c r="L8" s="5">
        <v>-16465</v>
      </c>
      <c r="M8" s="9">
        <v>-32930</v>
      </c>
      <c r="N8" s="2"/>
      <c r="O8" s="17">
        <f t="shared" si="0"/>
        <v>1.9933414043583535</v>
      </c>
      <c r="P8" s="18">
        <f t="shared" si="0"/>
        <v>2</v>
      </c>
      <c r="Q8" s="19">
        <f>+M8/K8</f>
        <v>3.986682808716707</v>
      </c>
      <c r="S8" s="48">
        <f>-+S6*U8</f>
        <v>-32124.744535519123</v>
      </c>
      <c r="T8" s="44" t="s">
        <v>45</v>
      </c>
      <c r="U8" s="35">
        <f>+L8/-L6</f>
        <v>8.9972677595628409E-2</v>
      </c>
    </row>
    <row r="9" spans="1:21">
      <c r="D9" s="40" t="s">
        <v>3</v>
      </c>
      <c r="K9" s="10">
        <f>SUM(K6:K8)</f>
        <v>84240</v>
      </c>
      <c r="L9" s="4">
        <f t="shared" ref="L9:M9" si="1">SUM(L6:L8)</f>
        <v>168535</v>
      </c>
      <c r="M9" s="11">
        <f t="shared" si="1"/>
        <v>337070</v>
      </c>
      <c r="N9" s="5"/>
      <c r="O9" s="17">
        <f t="shared" si="0"/>
        <v>2.0006528964862298</v>
      </c>
      <c r="P9" s="18">
        <f t="shared" si="0"/>
        <v>2</v>
      </c>
      <c r="Q9" s="19">
        <f>+M9/K9</f>
        <v>4.0013057929724596</v>
      </c>
      <c r="S9" s="49">
        <f t="shared" ref="S9" si="2">SUM(S6:S8)</f>
        <v>326925.2554644809</v>
      </c>
      <c r="T9" s="39">
        <f>+S9/K9</f>
        <v>3.8808791009553762</v>
      </c>
      <c r="U9" s="27" t="s">
        <v>57</v>
      </c>
    </row>
    <row r="10" spans="1:21">
      <c r="K10" s="8"/>
      <c r="L10" s="5"/>
      <c r="M10" s="9"/>
      <c r="N10" s="2"/>
      <c r="O10" s="17"/>
      <c r="P10" s="18"/>
      <c r="Q10" s="19"/>
      <c r="S10" s="47"/>
      <c r="T10" s="26"/>
      <c r="U10" s="27"/>
    </row>
    <row r="11" spans="1:21">
      <c r="B11" s="1" t="s">
        <v>4</v>
      </c>
      <c r="K11" s="8"/>
      <c r="L11" s="5"/>
      <c r="M11" s="9"/>
      <c r="N11" s="2"/>
      <c r="O11" s="17"/>
      <c r="P11" s="18"/>
      <c r="Q11" s="19"/>
      <c r="S11" s="47"/>
      <c r="T11" s="26"/>
      <c r="U11" s="27"/>
    </row>
    <row r="12" spans="1:21">
      <c r="C12" s="1" t="s">
        <v>5</v>
      </c>
      <c r="K12" s="8"/>
      <c r="L12" s="5"/>
      <c r="M12" s="9"/>
      <c r="N12" s="2"/>
      <c r="O12" s="17"/>
      <c r="P12" s="18"/>
      <c r="Q12" s="19"/>
      <c r="S12" s="47"/>
      <c r="T12" s="26"/>
      <c r="U12" s="27"/>
    </row>
    <row r="13" spans="1:21">
      <c r="D13" s="1" t="s">
        <v>6</v>
      </c>
      <c r="K13" s="8">
        <v>1500</v>
      </c>
      <c r="L13" s="5">
        <v>2550</v>
      </c>
      <c r="M13" s="9">
        <v>4550</v>
      </c>
      <c r="N13" s="2"/>
      <c r="O13" s="17">
        <f>+L13/K13</f>
        <v>1.7</v>
      </c>
      <c r="P13" s="18">
        <f>+M13/L13</f>
        <v>1.7843137254901962</v>
      </c>
      <c r="Q13" s="19">
        <f>+M13/K13</f>
        <v>3.0333333333333332</v>
      </c>
      <c r="S13" s="48">
        <f>200*15</f>
        <v>3000</v>
      </c>
      <c r="T13" s="44" t="s">
        <v>49</v>
      </c>
      <c r="U13" s="34" t="s">
        <v>58</v>
      </c>
    </row>
    <row r="14" spans="1:21" ht="28">
      <c r="D14" s="60" t="s">
        <v>7</v>
      </c>
      <c r="E14" s="1" t="s">
        <v>8</v>
      </c>
      <c r="K14" s="8">
        <v>1655</v>
      </c>
      <c r="L14" s="5">
        <v>3210</v>
      </c>
      <c r="M14" s="9">
        <v>6420</v>
      </c>
      <c r="N14" s="2"/>
      <c r="O14" s="17">
        <f t="shared" ref="O14:O25" si="3">+L14/K14</f>
        <v>1.9395770392749245</v>
      </c>
      <c r="P14" s="18">
        <f t="shared" ref="P14:P25" si="4">+M14/L14</f>
        <v>2</v>
      </c>
      <c r="Q14" s="19">
        <f t="shared" ref="Q14:Q25" si="5">+M14/K14</f>
        <v>3.8791540785498491</v>
      </c>
      <c r="S14" s="48">
        <f>1655*2</f>
        <v>3310</v>
      </c>
      <c r="T14" s="44" t="s">
        <v>49</v>
      </c>
      <c r="U14" s="34" t="s">
        <v>47</v>
      </c>
    </row>
    <row r="15" spans="1:21" ht="28">
      <c r="D15" s="60"/>
      <c r="E15" s="1" t="s">
        <v>9</v>
      </c>
      <c r="K15" s="8">
        <v>13505</v>
      </c>
      <c r="L15" s="5">
        <v>24825</v>
      </c>
      <c r="M15" s="9">
        <v>45491</v>
      </c>
      <c r="N15" s="2"/>
      <c r="O15" s="17">
        <f t="shared" si="3"/>
        <v>1.8382080710847835</v>
      </c>
      <c r="P15" s="18">
        <f t="shared" si="4"/>
        <v>1.8324672708962739</v>
      </c>
      <c r="Q15" s="19">
        <f t="shared" si="5"/>
        <v>3.3684561273602371</v>
      </c>
      <c r="S15" s="48">
        <f t="shared" ref="S15:S20" si="6">+K15*2</f>
        <v>27010</v>
      </c>
      <c r="T15" s="44" t="s">
        <v>49</v>
      </c>
      <c r="U15" s="34" t="s">
        <v>48</v>
      </c>
    </row>
    <row r="16" spans="1:21" ht="19.75" customHeight="1">
      <c r="D16" s="60"/>
      <c r="E16" s="1" t="s">
        <v>10</v>
      </c>
      <c r="K16" s="8">
        <v>2478</v>
      </c>
      <c r="L16" s="5">
        <v>4777</v>
      </c>
      <c r="M16" s="9">
        <v>9069</v>
      </c>
      <c r="N16" s="2"/>
      <c r="O16" s="17">
        <f t="shared" si="3"/>
        <v>1.9277643260694108</v>
      </c>
      <c r="P16" s="18">
        <f t="shared" si="4"/>
        <v>1.8984718442537156</v>
      </c>
      <c r="Q16" s="19">
        <f t="shared" si="5"/>
        <v>3.6598062953995156</v>
      </c>
      <c r="S16" s="48">
        <f t="shared" si="6"/>
        <v>4956</v>
      </c>
      <c r="T16" s="44" t="s">
        <v>49</v>
      </c>
      <c r="U16" s="34" t="s">
        <v>59</v>
      </c>
    </row>
    <row r="17" spans="3:21">
      <c r="D17" s="60"/>
      <c r="E17" s="1" t="s">
        <v>11</v>
      </c>
      <c r="K17" s="8">
        <v>2598</v>
      </c>
      <c r="L17" s="5">
        <v>4875</v>
      </c>
      <c r="M17" s="9">
        <v>9430</v>
      </c>
      <c r="N17" s="2"/>
      <c r="O17" s="17">
        <f t="shared" si="3"/>
        <v>1.8764434180138567</v>
      </c>
      <c r="P17" s="18">
        <f t="shared" si="4"/>
        <v>1.9343589743589744</v>
      </c>
      <c r="Q17" s="19">
        <f t="shared" si="5"/>
        <v>3.6297151655119322</v>
      </c>
      <c r="S17" s="48">
        <f t="shared" si="6"/>
        <v>5196</v>
      </c>
      <c r="T17" s="44" t="s">
        <v>49</v>
      </c>
      <c r="U17" s="61" t="s">
        <v>60</v>
      </c>
    </row>
    <row r="18" spans="3:21">
      <c r="D18" s="60"/>
      <c r="E18" s="1" t="s">
        <v>12</v>
      </c>
      <c r="K18" s="8">
        <v>376</v>
      </c>
      <c r="L18" s="5">
        <v>753</v>
      </c>
      <c r="M18" s="9">
        <v>1505</v>
      </c>
      <c r="N18" s="2"/>
      <c r="O18" s="17">
        <f t="shared" si="3"/>
        <v>2.0026595744680851</v>
      </c>
      <c r="P18" s="18">
        <f t="shared" si="4"/>
        <v>1.99867197875166</v>
      </c>
      <c r="Q18" s="19">
        <f t="shared" si="5"/>
        <v>4.0026595744680851</v>
      </c>
      <c r="S18" s="48">
        <f t="shared" si="6"/>
        <v>752</v>
      </c>
      <c r="T18" s="44" t="s">
        <v>49</v>
      </c>
      <c r="U18" s="62"/>
    </row>
    <row r="19" spans="3:21">
      <c r="D19" s="60"/>
      <c r="E19" s="1" t="s">
        <v>13</v>
      </c>
      <c r="K19" s="8">
        <v>590</v>
      </c>
      <c r="L19" s="5">
        <v>920</v>
      </c>
      <c r="M19" s="9">
        <v>1580</v>
      </c>
      <c r="N19" s="2"/>
      <c r="O19" s="17">
        <f t="shared" si="3"/>
        <v>1.5593220338983051</v>
      </c>
      <c r="P19" s="18">
        <f t="shared" si="4"/>
        <v>1.7173913043478262</v>
      </c>
      <c r="Q19" s="19">
        <f t="shared" si="5"/>
        <v>2.6779661016949152</v>
      </c>
      <c r="S19" s="48">
        <f t="shared" si="6"/>
        <v>1180</v>
      </c>
      <c r="T19" s="44" t="s">
        <v>49</v>
      </c>
      <c r="U19" s="62"/>
    </row>
    <row r="20" spans="3:21">
      <c r="D20" s="1" t="s">
        <v>14</v>
      </c>
      <c r="K20" s="8">
        <v>885</v>
      </c>
      <c r="L20" s="5">
        <v>1770</v>
      </c>
      <c r="M20" s="9">
        <v>3540</v>
      </c>
      <c r="N20" s="2"/>
      <c r="O20" s="17">
        <f t="shared" si="3"/>
        <v>2</v>
      </c>
      <c r="P20" s="18">
        <f t="shared" si="4"/>
        <v>2</v>
      </c>
      <c r="Q20" s="19">
        <f t="shared" si="5"/>
        <v>4</v>
      </c>
      <c r="S20" s="48">
        <f t="shared" si="6"/>
        <v>1770</v>
      </c>
      <c r="T20" s="44" t="s">
        <v>49</v>
      </c>
      <c r="U20" s="63"/>
    </row>
    <row r="21" spans="3:21">
      <c r="D21" s="1" t="s">
        <v>15</v>
      </c>
      <c r="K21" s="8">
        <v>2150</v>
      </c>
      <c r="L21" s="5">
        <v>4300</v>
      </c>
      <c r="M21" s="9">
        <v>8600</v>
      </c>
      <c r="N21" s="2"/>
      <c r="O21" s="17">
        <f t="shared" si="3"/>
        <v>2</v>
      </c>
      <c r="P21" s="18">
        <f t="shared" si="4"/>
        <v>2</v>
      </c>
      <c r="Q21" s="19">
        <f t="shared" si="5"/>
        <v>4</v>
      </c>
      <c r="S21" s="48">
        <f>+K21</f>
        <v>2150</v>
      </c>
      <c r="T21" s="45" t="s">
        <v>46</v>
      </c>
      <c r="U21" s="34" t="s">
        <v>61</v>
      </c>
    </row>
    <row r="22" spans="3:21" ht="28">
      <c r="D22" s="1" t="s">
        <v>27</v>
      </c>
      <c r="K22" s="8">
        <v>680</v>
      </c>
      <c r="L22" s="5">
        <v>1280</v>
      </c>
      <c r="M22" s="9">
        <v>2505</v>
      </c>
      <c r="N22" s="2"/>
      <c r="O22" s="17">
        <f t="shared" si="3"/>
        <v>1.8823529411764706</v>
      </c>
      <c r="P22" s="18">
        <f t="shared" si="4"/>
        <v>1.95703125</v>
      </c>
      <c r="Q22" s="19">
        <f t="shared" si="5"/>
        <v>3.6838235294117645</v>
      </c>
      <c r="S22" s="48">
        <f>+K22*2</f>
        <v>1360</v>
      </c>
      <c r="T22" s="44" t="s">
        <v>49</v>
      </c>
      <c r="U22" s="34" t="s">
        <v>62</v>
      </c>
    </row>
    <row r="23" spans="3:21">
      <c r="D23" s="1" t="s">
        <v>28</v>
      </c>
      <c r="K23" s="8">
        <v>6200</v>
      </c>
      <c r="L23" s="5">
        <v>12400</v>
      </c>
      <c r="M23" s="9">
        <v>24800</v>
      </c>
      <c r="N23" s="2"/>
      <c r="O23" s="17">
        <f t="shared" si="3"/>
        <v>2</v>
      </c>
      <c r="P23" s="18">
        <f t="shared" si="4"/>
        <v>2</v>
      </c>
      <c r="Q23" s="19">
        <f t="shared" si="5"/>
        <v>4</v>
      </c>
      <c r="S23" s="48">
        <f>+K23*2</f>
        <v>12400</v>
      </c>
      <c r="T23" s="44" t="s">
        <v>49</v>
      </c>
      <c r="U23" s="41" t="s">
        <v>60</v>
      </c>
    </row>
    <row r="24" spans="3:21">
      <c r="D24" s="1" t="s">
        <v>29</v>
      </c>
      <c r="K24" s="8">
        <v>6542</v>
      </c>
      <c r="L24" s="5">
        <v>12564</v>
      </c>
      <c r="M24" s="9">
        <v>25128</v>
      </c>
      <c r="N24" s="2"/>
      <c r="O24" s="17">
        <f t="shared" si="3"/>
        <v>1.9205136044023234</v>
      </c>
      <c r="P24" s="18">
        <f t="shared" si="4"/>
        <v>2</v>
      </c>
      <c r="Q24" s="19">
        <f t="shared" si="5"/>
        <v>3.8410272088046469</v>
      </c>
      <c r="S24" s="48">
        <f>+K24*2</f>
        <v>13084</v>
      </c>
      <c r="T24" s="44" t="s">
        <v>49</v>
      </c>
      <c r="U24" s="34" t="s">
        <v>60</v>
      </c>
    </row>
    <row r="25" spans="3:21">
      <c r="D25" s="40" t="s">
        <v>40</v>
      </c>
      <c r="K25" s="10">
        <f>SUM(K13:K24)</f>
        <v>39159</v>
      </c>
      <c r="L25" s="4">
        <f>SUM(L13:L24)</f>
        <v>74224</v>
      </c>
      <c r="M25" s="11">
        <f>SUM(M13:M24)</f>
        <v>142618</v>
      </c>
      <c r="N25" s="2"/>
      <c r="O25" s="17">
        <f t="shared" si="3"/>
        <v>1.8954518756863046</v>
      </c>
      <c r="P25" s="18">
        <f t="shared" si="4"/>
        <v>1.9214539771502479</v>
      </c>
      <c r="Q25" s="19">
        <f t="shared" si="5"/>
        <v>3.642023545034347</v>
      </c>
      <c r="S25" s="49">
        <f>SUM(S13:S24)</f>
        <v>76168</v>
      </c>
      <c r="T25" s="39">
        <f>+S25/K25</f>
        <v>1.9450956357414644</v>
      </c>
      <c r="U25" s="27" t="s">
        <v>57</v>
      </c>
    </row>
    <row r="26" spans="3:21">
      <c r="C26" s="1" t="s">
        <v>30</v>
      </c>
      <c r="K26" s="8"/>
      <c r="L26" s="5"/>
      <c r="M26" s="9"/>
      <c r="N26" s="2"/>
      <c r="O26" s="17"/>
      <c r="P26" s="18"/>
      <c r="Q26" s="19"/>
      <c r="S26" s="47"/>
      <c r="T26" s="39"/>
      <c r="U26" s="27"/>
    </row>
    <row r="27" spans="3:21">
      <c r="D27" s="1" t="s">
        <v>31</v>
      </c>
      <c r="K27" s="8">
        <v>3048</v>
      </c>
      <c r="L27" s="5">
        <v>3735</v>
      </c>
      <c r="M27" s="9">
        <v>5159</v>
      </c>
      <c r="N27" s="2"/>
      <c r="O27" s="17">
        <f t="shared" ref="O27:P35" si="7">+L27/K27</f>
        <v>1.2253937007874016</v>
      </c>
      <c r="P27" s="18">
        <f t="shared" si="7"/>
        <v>1.3812583668005354</v>
      </c>
      <c r="Q27" s="19">
        <f t="shared" ref="Q27:Q35" si="8">+M27/K27</f>
        <v>1.6925853018372703</v>
      </c>
      <c r="S27" s="48">
        <v>5159</v>
      </c>
      <c r="T27" s="44" t="s">
        <v>52</v>
      </c>
      <c r="U27" s="34" t="s">
        <v>53</v>
      </c>
    </row>
    <row r="28" spans="3:21" ht="28">
      <c r="D28" s="1" t="s">
        <v>16</v>
      </c>
      <c r="K28" s="8">
        <v>4340</v>
      </c>
      <c r="L28" s="5">
        <v>5244</v>
      </c>
      <c r="M28" s="9">
        <v>6937</v>
      </c>
      <c r="N28" s="2"/>
      <c r="O28" s="17">
        <f t="shared" si="7"/>
        <v>1.2082949308755759</v>
      </c>
      <c r="P28" s="18">
        <f t="shared" si="7"/>
        <v>1.3228451563691839</v>
      </c>
      <c r="Q28" s="19">
        <f t="shared" si="8"/>
        <v>1.5983870967741935</v>
      </c>
      <c r="S28" s="48">
        <v>3100</v>
      </c>
      <c r="T28" s="45" t="s">
        <v>63</v>
      </c>
      <c r="U28" s="34" t="s">
        <v>64</v>
      </c>
    </row>
    <row r="29" spans="3:21">
      <c r="D29" s="1" t="s">
        <v>17</v>
      </c>
      <c r="K29" s="8">
        <v>104</v>
      </c>
      <c r="L29" s="5">
        <v>208</v>
      </c>
      <c r="M29" s="9">
        <v>416</v>
      </c>
      <c r="N29" s="2"/>
      <c r="O29" s="17">
        <f t="shared" si="7"/>
        <v>2</v>
      </c>
      <c r="P29" s="18">
        <f t="shared" si="7"/>
        <v>2</v>
      </c>
      <c r="Q29" s="19">
        <f t="shared" si="8"/>
        <v>4</v>
      </c>
      <c r="S29" s="48">
        <v>416</v>
      </c>
      <c r="T29" s="44" t="s">
        <v>52</v>
      </c>
      <c r="U29" s="34" t="s">
        <v>53</v>
      </c>
    </row>
    <row r="30" spans="3:21">
      <c r="D30" s="1" t="s">
        <v>18</v>
      </c>
      <c r="K30" s="8">
        <v>540</v>
      </c>
      <c r="L30" s="5">
        <v>653</v>
      </c>
      <c r="M30" s="9">
        <v>878</v>
      </c>
      <c r="N30" s="2"/>
      <c r="O30" s="17">
        <f t="shared" si="7"/>
        <v>1.2092592592592593</v>
      </c>
      <c r="P30" s="18">
        <f t="shared" si="7"/>
        <v>1.3445635528330782</v>
      </c>
      <c r="Q30" s="19">
        <f t="shared" si="8"/>
        <v>1.625925925925926</v>
      </c>
      <c r="S30" s="48">
        <v>878</v>
      </c>
      <c r="T30" s="44" t="s">
        <v>52</v>
      </c>
      <c r="U30" s="34" t="s">
        <v>53</v>
      </c>
    </row>
    <row r="31" spans="3:21">
      <c r="D31" s="1" t="s">
        <v>19</v>
      </c>
      <c r="K31" s="8">
        <v>120</v>
      </c>
      <c r="L31" s="5">
        <v>145</v>
      </c>
      <c r="M31" s="9">
        <v>195</v>
      </c>
      <c r="N31" s="2"/>
      <c r="O31" s="17">
        <f t="shared" si="7"/>
        <v>1.2083333333333333</v>
      </c>
      <c r="P31" s="18">
        <f t="shared" si="7"/>
        <v>1.3448275862068966</v>
      </c>
      <c r="Q31" s="19">
        <f t="shared" si="8"/>
        <v>1.625</v>
      </c>
      <c r="S31" s="48">
        <v>195</v>
      </c>
      <c r="T31" s="44" t="s">
        <v>52</v>
      </c>
      <c r="U31" s="34" t="s">
        <v>53</v>
      </c>
    </row>
    <row r="32" spans="3:21">
      <c r="D32" s="1" t="s">
        <v>20</v>
      </c>
      <c r="K32" s="8">
        <v>20</v>
      </c>
      <c r="L32" s="5">
        <v>24</v>
      </c>
      <c r="M32" s="9">
        <v>33</v>
      </c>
      <c r="N32" s="2"/>
      <c r="O32" s="17">
        <f t="shared" si="7"/>
        <v>1.2</v>
      </c>
      <c r="P32" s="18">
        <f t="shared" si="7"/>
        <v>1.375</v>
      </c>
      <c r="Q32" s="19">
        <f t="shared" si="8"/>
        <v>1.65</v>
      </c>
      <c r="S32" s="48">
        <v>33</v>
      </c>
      <c r="T32" s="44" t="s">
        <v>52</v>
      </c>
      <c r="U32" s="34" t="s">
        <v>53</v>
      </c>
    </row>
    <row r="33" spans="2:21">
      <c r="E33" s="40" t="s">
        <v>39</v>
      </c>
      <c r="K33" s="10">
        <f>SUM(K27:K32)</f>
        <v>8172</v>
      </c>
      <c r="L33" s="4">
        <f t="shared" ref="L33:M33" si="9">SUM(L27:L32)</f>
        <v>10009</v>
      </c>
      <c r="M33" s="11">
        <f t="shared" si="9"/>
        <v>13618</v>
      </c>
      <c r="N33" s="2"/>
      <c r="O33" s="17">
        <f t="shared" si="7"/>
        <v>1.2247919725893295</v>
      </c>
      <c r="P33" s="18">
        <f t="shared" si="7"/>
        <v>1.3605754820661404</v>
      </c>
      <c r="Q33" s="19">
        <f t="shared" si="8"/>
        <v>1.6664219285364661</v>
      </c>
      <c r="S33" s="49">
        <f t="shared" ref="S33" si="10">SUM(S27:S32)</f>
        <v>9781</v>
      </c>
      <c r="T33" s="39">
        <f>+S33/K33</f>
        <v>1.1968918257464514</v>
      </c>
      <c r="U33" s="27" t="s">
        <v>57</v>
      </c>
    </row>
    <row r="34" spans="2:21">
      <c r="K34" s="36"/>
      <c r="L34" s="37"/>
      <c r="M34" s="38"/>
      <c r="N34" s="2"/>
      <c r="O34" s="17"/>
      <c r="P34" s="18"/>
      <c r="Q34" s="19"/>
      <c r="S34" s="49"/>
      <c r="T34" s="26"/>
      <c r="U34" s="27"/>
    </row>
    <row r="35" spans="2:21" ht="16" thickBot="1">
      <c r="F35" s="40" t="s">
        <v>21</v>
      </c>
      <c r="K35" s="12">
        <f>+K33+K25</f>
        <v>47331</v>
      </c>
      <c r="L35" s="6">
        <f t="shared" ref="L35:M35" si="11">+L33+L25</f>
        <v>84233</v>
      </c>
      <c r="M35" s="13">
        <f t="shared" si="11"/>
        <v>156236</v>
      </c>
      <c r="N35" s="5"/>
      <c r="O35" s="17">
        <f t="shared" si="7"/>
        <v>1.7796581521624306</v>
      </c>
      <c r="P35" s="18">
        <f t="shared" si="7"/>
        <v>1.8548074982489049</v>
      </c>
      <c r="Q35" s="19">
        <f t="shared" si="8"/>
        <v>3.3009232849506667</v>
      </c>
      <c r="S35" s="50">
        <f t="shared" ref="S35" si="12">+S33+S25</f>
        <v>85949</v>
      </c>
      <c r="T35" s="39">
        <f>+S35/K35</f>
        <v>1.8159134605227019</v>
      </c>
      <c r="U35" s="27" t="s">
        <v>57</v>
      </c>
    </row>
    <row r="36" spans="2:21" ht="16" thickTop="1">
      <c r="B36" s="1" t="s">
        <v>22</v>
      </c>
      <c r="K36" s="8"/>
      <c r="L36" s="5"/>
      <c r="M36" s="9"/>
      <c r="N36" s="2"/>
      <c r="O36" s="17"/>
      <c r="P36" s="18"/>
      <c r="Q36" s="19"/>
      <c r="S36" s="47"/>
      <c r="T36" s="26"/>
      <c r="U36" s="27"/>
    </row>
    <row r="37" spans="2:21" ht="28">
      <c r="C37" s="1" t="s">
        <v>23</v>
      </c>
      <c r="K37" s="8">
        <v>-12500</v>
      </c>
      <c r="L37" s="5">
        <v>-25000</v>
      </c>
      <c r="M37" s="9">
        <v>-29850</v>
      </c>
      <c r="N37" s="2"/>
      <c r="O37" s="17">
        <f t="shared" ref="O37:P39" si="13">+L37/K37</f>
        <v>2</v>
      </c>
      <c r="P37" s="18">
        <f t="shared" si="13"/>
        <v>1.194</v>
      </c>
      <c r="Q37" s="19">
        <f>+M37/K37</f>
        <v>2.3879999999999999</v>
      </c>
      <c r="S37" s="48">
        <f>+M37</f>
        <v>-29850</v>
      </c>
      <c r="T37" s="44" t="s">
        <v>52</v>
      </c>
      <c r="U37" s="34" t="s">
        <v>65</v>
      </c>
    </row>
    <row r="38" spans="2:21" ht="42">
      <c r="C38" s="1" t="s">
        <v>24</v>
      </c>
      <c r="K38" s="8">
        <v>-30000</v>
      </c>
      <c r="L38" s="5">
        <v>-60000</v>
      </c>
      <c r="M38" s="9">
        <v>-120000</v>
      </c>
      <c r="N38" s="2"/>
      <c r="O38" s="17">
        <f t="shared" si="13"/>
        <v>2</v>
      </c>
      <c r="P38" s="18">
        <f t="shared" si="13"/>
        <v>2</v>
      </c>
      <c r="Q38" s="19">
        <f>+M38/K38</f>
        <v>4</v>
      </c>
      <c r="S38" s="48">
        <v>-60000</v>
      </c>
      <c r="T38" s="44" t="s">
        <v>42</v>
      </c>
      <c r="U38" s="34" t="s">
        <v>66</v>
      </c>
    </row>
    <row r="39" spans="2:21">
      <c r="F39" s="40" t="s">
        <v>25</v>
      </c>
      <c r="K39" s="10">
        <f>SUM(K37:K38)</f>
        <v>-42500</v>
      </c>
      <c r="L39" s="4">
        <f t="shared" ref="L39:M39" si="14">SUM(L37:L38)</f>
        <v>-85000</v>
      </c>
      <c r="M39" s="11">
        <f t="shared" si="14"/>
        <v>-149850</v>
      </c>
      <c r="N39" s="5"/>
      <c r="O39" s="17">
        <f t="shared" si="13"/>
        <v>2</v>
      </c>
      <c r="P39" s="18">
        <f t="shared" si="13"/>
        <v>1.7629411764705882</v>
      </c>
      <c r="Q39" s="19">
        <f>+M39/K39</f>
        <v>3.5258823529411765</v>
      </c>
      <c r="S39" s="49">
        <f t="shared" ref="S39" si="15">SUM(S37:S38)</f>
        <v>-89850</v>
      </c>
      <c r="T39" s="39">
        <f>+S39/K39</f>
        <v>2.1141176470588237</v>
      </c>
      <c r="U39" s="27" t="s">
        <v>57</v>
      </c>
    </row>
    <row r="40" spans="2:21">
      <c r="K40" s="8"/>
      <c r="L40" s="5"/>
      <c r="M40" s="9"/>
      <c r="N40" s="2"/>
      <c r="O40" s="17"/>
      <c r="P40" s="18"/>
      <c r="Q40" s="19"/>
      <c r="S40" s="47"/>
      <c r="T40" s="26"/>
      <c r="U40" s="27"/>
    </row>
    <row r="41" spans="2:21" ht="16" thickBot="1">
      <c r="F41" s="40" t="s">
        <v>26</v>
      </c>
      <c r="K41" s="12">
        <f>+K9-K35+K39</f>
        <v>-5591</v>
      </c>
      <c r="L41" s="6">
        <f>+L9-L35+L39</f>
        <v>-698</v>
      </c>
      <c r="M41" s="13">
        <f>+M9-M35+M39</f>
        <v>30984</v>
      </c>
      <c r="N41" s="5"/>
      <c r="O41" s="17">
        <f>+L41/K41</f>
        <v>0.12484349847969951</v>
      </c>
      <c r="P41" s="18">
        <f>+M41/L41</f>
        <v>-44.389684813753583</v>
      </c>
      <c r="Q41" s="19">
        <f>+M41/K41</f>
        <v>-5.5417635485601862</v>
      </c>
      <c r="S41" s="51">
        <f>+S9-S35+S39</f>
        <v>151126.2554644809</v>
      </c>
      <c r="T41" s="39"/>
      <c r="U41" s="42" t="s">
        <v>67</v>
      </c>
    </row>
    <row r="42" spans="2:21" ht="17" thickTop="1" thickBot="1">
      <c r="K42" s="14"/>
      <c r="L42" s="15"/>
      <c r="M42" s="16"/>
      <c r="O42" s="20"/>
      <c r="P42" s="15"/>
      <c r="Q42" s="16"/>
      <c r="S42" s="52"/>
      <c r="T42" s="30"/>
      <c r="U42" s="31"/>
    </row>
  </sheetData>
  <mergeCells count="4">
    <mergeCell ref="O3:Q3"/>
    <mergeCell ref="K3:M3"/>
    <mergeCell ref="D14:D19"/>
    <mergeCell ref="U17:U20"/>
  </mergeCells>
  <pageMargins left="0.25" right="0.25" top="0.5" bottom="0.25" header="0.3" footer="0.3"/>
  <pageSetup scale="66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ICANN Budget Analyses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Jon Nevett</cp:lastModifiedBy>
  <cp:lastPrinted>2012-06-15T04:26:18Z</cp:lastPrinted>
  <dcterms:created xsi:type="dcterms:W3CDTF">2012-06-12T22:46:04Z</dcterms:created>
  <dcterms:modified xsi:type="dcterms:W3CDTF">2012-06-15T11:08:41Z</dcterms:modified>
</cp:coreProperties>
</file>